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alf\Downloads\"/>
    </mc:Choice>
  </mc:AlternateContent>
  <xr:revisionPtr revIDLastSave="0" documentId="13_ncr:1_{0B3C0C52-EFA8-4EC7-80B7-F160F08F15B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chnell-Check" sheetId="1" r:id="rId1"/>
    <sheet name="Anleitung" sheetId="2" r:id="rId2"/>
    <sheet name="Wirtschaftlichkeit" sheetId="3" r:id="rId3"/>
    <sheet name="Nutzwertanalyse" sheetId="4" r:id="rId4"/>
    <sheet name="s-Diagramm" sheetId="5" r:id="rId5"/>
    <sheet name="Gesamtabwägung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6" l="1"/>
  <c r="K9" i="4"/>
  <c r="J8" i="4"/>
  <c r="M8" i="4" s="1"/>
  <c r="I8" i="4"/>
  <c r="L8" i="4" s="1"/>
  <c r="J7" i="4"/>
  <c r="M7" i="4" s="1"/>
  <c r="I7" i="4"/>
  <c r="L7" i="4" s="1"/>
  <c r="M6" i="4"/>
  <c r="J6" i="4"/>
  <c r="I6" i="4"/>
  <c r="L6" i="4" s="1"/>
  <c r="J5" i="4"/>
  <c r="M5" i="4" s="1"/>
  <c r="I5" i="4"/>
  <c r="L5" i="4" s="1"/>
  <c r="J4" i="4"/>
  <c r="M4" i="4" s="1"/>
  <c r="I4" i="4"/>
  <c r="L4" i="4" s="1"/>
  <c r="C19" i="3"/>
  <c r="B19" i="3"/>
  <c r="B11" i="3"/>
  <c r="C18" i="3" s="1"/>
  <c r="B10" i="3"/>
  <c r="C17" i="3" s="1"/>
  <c r="A18" i="1"/>
  <c r="M9" i="4" l="1"/>
  <c r="B13" i="4" s="1"/>
  <c r="L9" i="4"/>
  <c r="B12" i="4" s="1"/>
  <c r="B4" i="5" s="1"/>
  <c r="C20" i="3"/>
  <c r="B18" i="3"/>
  <c r="C8" i="6"/>
  <c r="B5" i="5"/>
  <c r="B17" i="3"/>
  <c r="B20" i="3" s="1"/>
  <c r="B22" i="3" s="1"/>
  <c r="B8" i="6" l="1"/>
  <c r="C22" i="3"/>
  <c r="B16" i="6"/>
  <c r="B5" i="1"/>
  <c r="C4" i="5"/>
  <c r="B9" i="6"/>
  <c r="B28" i="6" s="1"/>
  <c r="C9" i="6"/>
  <c r="C27" i="6" s="1"/>
  <c r="C5" i="5"/>
  <c r="B23" i="6"/>
  <c r="B26" i="6"/>
  <c r="B31" i="6"/>
  <c r="B25" i="6"/>
  <c r="B10" i="6"/>
  <c r="B17" i="6"/>
  <c r="C26" i="6"/>
  <c r="C31" i="6"/>
  <c r="B24" i="6" l="1"/>
  <c r="C29" i="6"/>
  <c r="C28" i="6"/>
  <c r="C24" i="6"/>
  <c r="C23" i="6"/>
  <c r="D23" i="6" s="1"/>
  <c r="C10" i="6"/>
  <c r="B12" i="6" s="1"/>
  <c r="D31" i="6"/>
  <c r="D26" i="6"/>
  <c r="D28" i="6"/>
  <c r="C30" i="6"/>
  <c r="C25" i="6"/>
  <c r="D25" i="6" s="1"/>
  <c r="B32" i="6"/>
  <c r="B27" i="6"/>
  <c r="D27" i="6" s="1"/>
  <c r="B22" i="6"/>
  <c r="C22" i="6"/>
  <c r="B30" i="6"/>
  <c r="C32" i="6"/>
  <c r="A6" i="1"/>
  <c r="A25" i="1"/>
  <c r="F1" i="1"/>
  <c r="B14" i="6"/>
  <c r="C14" i="6" s="1"/>
  <c r="B29" i="6"/>
  <c r="D30" i="6" l="1"/>
  <c r="D24" i="6"/>
  <c r="D29" i="6"/>
  <c r="D32" i="6"/>
  <c r="D22" i="6"/>
  <c r="A22" i="1"/>
  <c r="A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" authorId="0" shapeId="0" xr:uid="{00000000-0006-0000-0200-000001000000}">
      <text>
        <r>
          <rPr>
            <sz val="10"/>
            <rFont val="Arial"/>
            <family val="2"/>
          </rPr>
          <t>Beispielwert, anpassen</t>
        </r>
      </text>
    </comment>
    <comment ref="B5" authorId="0" shapeId="0" xr:uid="{00000000-0006-0000-0200-000002000000}">
      <text>
        <r>
          <rPr>
            <sz val="10"/>
            <rFont val="Arial"/>
            <family val="2"/>
          </rPr>
          <t>Rechnerische Nutzungsdauer (Annahme, VDI 2067)</t>
        </r>
      </text>
    </comment>
    <comment ref="B6" authorId="0" shapeId="0" xr:uid="{00000000-0006-0000-0200-000003000000}">
      <text>
        <r>
          <rPr>
            <sz val="10"/>
            <rFont val="Arial"/>
            <family val="2"/>
          </rPr>
          <t>Beispielwert, anpassen</t>
        </r>
      </text>
    </comment>
    <comment ref="B7" authorId="0" shapeId="0" xr:uid="{00000000-0006-0000-0200-000004000000}">
      <text>
        <r>
          <rPr>
            <sz val="10"/>
            <rFont val="Arial"/>
            <family val="2"/>
          </rPr>
          <t>Preisänderungsfaktor Energie (VDI 2067)</t>
        </r>
      </text>
    </comment>
    <comment ref="B8" authorId="0" shapeId="0" xr:uid="{00000000-0006-0000-0200-000005000000}">
      <text>
        <r>
          <rPr>
            <sz val="10"/>
            <rFont val="Arial"/>
            <family val="2"/>
          </rPr>
          <t>Vereinfacht konstant angesetzt</t>
        </r>
      </text>
    </comment>
    <comment ref="B10" authorId="0" shapeId="0" xr:uid="{00000000-0006-0000-0200-000006000000}">
      <text>
        <r>
          <rPr>
            <sz val="10"/>
            <rFont val="Arial"/>
            <family val="2"/>
          </rPr>
          <t>a = i·(1+i)^T / ((1+i)^T − 1)</t>
        </r>
      </text>
    </comment>
    <comment ref="B11" authorId="0" shapeId="0" xr:uid="{00000000-0006-0000-0200-000007000000}">
      <text>
        <r>
          <rPr>
            <sz val="10"/>
            <rFont val="Arial"/>
            <family val="2"/>
          </rPr>
          <t>b = (1−(r/q)^T)/(q−r), q=1+i, r=1+Preissteigerung; für q=r: T/q</t>
        </r>
      </text>
    </comment>
    <comment ref="B14" authorId="0" shapeId="0" xr:uid="{00000000-0006-0000-0200-000008000000}">
      <text>
        <r>
          <rPr>
            <sz val="10"/>
            <rFont val="Arial"/>
            <family val="2"/>
          </rPr>
          <t>Beispielpreis inkl. anteiligem Einbau – eigenen Wert eintragen</t>
        </r>
      </text>
    </comment>
    <comment ref="B15" authorId="0" shapeId="0" xr:uid="{00000000-0006-0000-0200-000009000000}">
      <text>
        <r>
          <rPr>
            <sz val="10"/>
            <rFont val="Arial"/>
            <family val="2"/>
          </rPr>
          <t>Beispiel/Schätzwert – Ranking reagiert stark hierauf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" authorId="0" shapeId="0" xr:uid="{00000000-0006-0000-0500-000001000000}">
      <text>
        <r>
          <rPr>
            <sz val="10"/>
            <rFont val="Arial"/>
            <family val="2"/>
          </rPr>
          <t>0 = nur Wirtschaftlichkeit, 1 = nur Technik. Deine erklärte Präferenz.</t>
        </r>
      </text>
    </comment>
  </commentList>
</comments>
</file>

<file path=xl/sharedStrings.xml><?xml version="1.0" encoding="utf-8"?>
<sst xmlns="http://schemas.openxmlformats.org/spreadsheetml/2006/main" count="124" uniqueCount="115">
  <si>
    <t>Schnell-Check: Lohnt sich die teurere Anlage für mich?</t>
  </si>
  <si>
    <t>Fall (1 robust ja / 2 Grenzfall / 3 nein)</t>
  </si>
  <si>
    <t>Drei Schritte, ganz ohne Fachbegriffe. Alles in Euro pro Jahr.</t>
  </si>
  <si>
    <t>1)  Was kostet der Unterschied?</t>
  </si>
  <si>
    <t>Mehrkosten der ATXM gegenüber der ATXD (pro Jahr):</t>
  </si>
  <si>
    <t>2)  Was bekommst du dafür?</t>
  </si>
  <si>
    <t>• leiser im Betrieb (größeres Außengerät, langsamerer Lüfter)</t>
  </si>
  <si>
    <t>• taut seltener ab – weniger Kaltluft-Stöße, angenehmer</t>
  </si>
  <si>
    <t>• besser regel- und auswertbar</t>
  </si>
  <si>
    <t>• mehr Ausstattung / Filter</t>
  </si>
  <si>
    <t>3)  Wie viel ist dir dieser Komfort wert? (als Spanne, €/Jahr)</t>
  </si>
  <si>
    <t>mindestens</t>
  </si>
  <si>
    <t>höchstens</t>
  </si>
  <si>
    <t>Eine Spanne ist ehrlicher als ein exakter Wert – schätz ruhig grob. Denk an ~15 Jahre ruhigeren Betrieb.</t>
  </si>
  <si>
    <t>Ergebnis</t>
  </si>
  <si>
    <t>Faustregel</t>
  </si>
  <si>
    <t>Für die genaue Rechnung (VDI 2067/2225, Gewichtung, Diagramme) siehe die weiteren Blätter.</t>
  </si>
  <si>
    <t>Auswahl Klima-/Wärmepumpen-Innengerät – strukturierte Entscheidung (v2)</t>
  </si>
  <si>
    <t>Zwei getrennte Achsen, erst am Ende zusammengeführt – Wirtschaftlichkeit und technisch-qualitative Eignung.</t>
  </si>
  <si>
    <t>Neu in v2 (adressiert die drei berechtigten Einwände):</t>
  </si>
  <si>
    <t>1) Definierte Kennzahl→Punkte-Funktion. Die Punkte werden NICHT mehr frei vergeben, sondern linear aus</t>
  </si>
  <si>
    <t xml:space="preserve">   zwei deklarierten Ankern berechnet: Anker→1 Punkt und Anker→10 Punkte. Damit ist die Umrechnung</t>
  </si>
  <si>
    <t xml:space="preserve">   nachprüfbar. Formel: Punkte = 1 + 9·(Kennzahl − Anker1)/(Anker10 − Anker1), begrenzt auf 1…10.</t>
  </si>
  <si>
    <t xml:space="preserve">   Für "niedriger = besser" ist der Anker→1 der schlechtere (höhere) Wert.</t>
  </si>
  <si>
    <t>2) Ehrliche Datenherkunft. Die Spalte "Datentyp" kennzeichnet jede Kennzahl: Datenblatt (objektiv, blau)</t>
  </si>
  <si>
    <t xml:space="preserve">   vs. Schätzung/qualitativ (weicher Wert, orange). Nur Datenblattwerte behaupten Objektivität.</t>
  </si>
  <si>
    <t>3) Wirtschaftlichkeit mit Energiepreissteigerung (preisdynamische Annuität nach VDI 2067), statt</t>
  </si>
  <si>
    <t xml:space="preserve">   konstanter Preise. Damit trägt das Etikett "nach VDI 2067" (kapital-, bedarfs-, betriebsgebunden).</t>
  </si>
  <si>
    <t>Wo sitzt die Subjektivität? Vollständig in den GELBEN Zellen: den Gewichten UND den Bewertungsankern.</t>
  </si>
  <si>
    <t>Beide sind offen deklariert und damit prüf- und diskutierbar – nicht in der Punktevergabe versteckt.</t>
  </si>
  <si>
    <t>Farb-Legende:</t>
  </si>
  <si>
    <t xml:space="preserve">   BLAU   = Datenblattwert / objektiv</t>
  </si>
  <si>
    <t xml:space="preserve">   ORANGE = Schätzung oder qualitativer Wert (bewusst weicher)</t>
  </si>
  <si>
    <t xml:space="preserve">   GELB   = selbst zu setzen (Gewichte, Bewertungsanker, wirtschaftliche Annahmen)</t>
  </si>
  <si>
    <t xml:space="preserve">   Schwarz = berechnet, nicht überschreiben</t>
  </si>
  <si>
    <t>Die eingetragenen Zahlen sind Beispielwerte (ATXD35 vs. ATXM35) und ausdrücklich anzupassen.</t>
  </si>
  <si>
    <t>Ein Ergebnis gilt nur für die selbst eingetragene Bewertung. Ohne eigene Werte ist es keine Aussage.</t>
  </si>
  <si>
    <t>Blatt "Gesamtabwägung": optionaler Regler λ, der die technische gegen die wirtschaftliche Achse gewichtet.</t>
  </si>
  <si>
    <t>λ = 0 → nur Wirtschaftlichkeit (eindeutiges Ergebnis, günstigste gewinnt); λ = 1 → nur Technik. Der Kipppunkt λ* zeigt, ab wann die Empfehlung wechselt.</t>
  </si>
  <si>
    <t>Wirtschaftlichkeit – Jahreskosten nach VDI 2067 (preisdynamische Annuität)</t>
  </si>
  <si>
    <t>Gemeinsame Annahmen</t>
  </si>
  <si>
    <t>Kalkulationszinssatz i</t>
  </si>
  <si>
    <t>Nutzungsdauer T (Jahre)</t>
  </si>
  <si>
    <t>Strompreis Basisjahr (€/kWh)</t>
  </si>
  <si>
    <t>Energiepreissteigerung p.a.</t>
  </si>
  <si>
    <t>Wartung/Instandsetzung (%/a v. Invest.)</t>
  </si>
  <si>
    <t>Annuitätsfaktor a</t>
  </si>
  <si>
    <t>Preisdyn. Barwertfaktor Energie b</t>
  </si>
  <si>
    <t>ATXD35</t>
  </si>
  <si>
    <t>ATXM35</t>
  </si>
  <si>
    <t>Investition (€)</t>
  </si>
  <si>
    <t>Jahresverbrauch (kWh)</t>
  </si>
  <si>
    <t>Kapitalgebundene Kosten (€/a)</t>
  </si>
  <si>
    <t>Bedarfsgebundene Kosten (€/a, preisdyn.)</t>
  </si>
  <si>
    <t>Betriebsgebundene Kosten (€/a)</t>
  </si>
  <si>
    <t>Gesamtjahreskosten (€/a)</t>
  </si>
  <si>
    <t>Wirtschaftliche Wertigkeit (0–1)</t>
  </si>
  <si>
    <t>(günstigste Variante = 1,000)</t>
  </si>
  <si>
    <t>Nutzwertanalyse – technisch-qualitative Bewertung (VDI 2225) mit definierter Punktefunktion</t>
  </si>
  <si>
    <t>Punkte werden aus den Ankern berechnet (nicht frei vergeben). Subjektiv/gelb = Anker + Gewicht. Kennzahl blau = Datenblatt, orange = Schätzung/qualitativ.</t>
  </si>
  <si>
    <t>Kriterium</t>
  </si>
  <si>
    <t>Richtung</t>
  </si>
  <si>
    <t>Einheit</t>
  </si>
  <si>
    <t>Datentyp</t>
  </si>
  <si>
    <t>Anker →1 Pkt</t>
  </si>
  <si>
    <t>Anker →10 Pkt</t>
  </si>
  <si>
    <t>ATXD Kennzahl</t>
  </si>
  <si>
    <t>ATXM Kennzahl</t>
  </si>
  <si>
    <t>ATXD Punkte</t>
  </si>
  <si>
    <t>ATXM Punkte</t>
  </si>
  <si>
    <t>Gewicht</t>
  </si>
  <si>
    <t>ATXD gew.</t>
  </si>
  <si>
    <t>ATXM gew.</t>
  </si>
  <si>
    <t>Laufruhe / Schall</t>
  </si>
  <si>
    <t>niedriger = besser</t>
  </si>
  <si>
    <t>dB(A)</t>
  </si>
  <si>
    <t>Datenblatt (EN 12102)</t>
  </si>
  <si>
    <t>Abtauverhalten</t>
  </si>
  <si>
    <t>Zyklen/h</t>
  </si>
  <si>
    <t>Schätzung</t>
  </si>
  <si>
    <t>Regelbarkeit / Auswertbarkeit</t>
  </si>
  <si>
    <t>höher = besser</t>
  </si>
  <si>
    <t>Merkmal 0/1</t>
  </si>
  <si>
    <t>Merkmal (ja/nein)</t>
  </si>
  <si>
    <t>Platzbedarf Außengerät</t>
  </si>
  <si>
    <t>Volumen dm³</t>
  </si>
  <si>
    <t>Datenblatt</t>
  </si>
  <si>
    <t>Zusatzfunktionen / Filter</t>
  </si>
  <si>
    <t>Index 0–1</t>
  </si>
  <si>
    <t>qualitativ</t>
  </si>
  <si>
    <t>Summe Gewicht</t>
  </si>
  <si>
    <t>muss 100 % sein →</t>
  </si>
  <si>
    <t>Ergebnis: Technische Wertigkeit (0–1)</t>
  </si>
  <si>
    <t>s-Diagramm nach VDI 2225 – technische vs. wirtschaftliche Wertigkeit</t>
  </si>
  <si>
    <t>Variante</t>
  </si>
  <si>
    <t>Techn. Wertigkeit (x)</t>
  </si>
  <si>
    <t>Wirt. Wertigkeit (y)</t>
  </si>
  <si>
    <t>Ideal</t>
  </si>
  <si>
    <t>Gesamtabwägung – ein Ergebnis mit wählbarem Gewicht zwischen den Achsen</t>
  </si>
  <si>
    <t>λ gewichtet die technische gegen die wirtschaftliche Achse. λ=0 → nur Wirtschaftlichkeit (eindeutig, günstigste gewinnt). λ=1 → nur Technik. Gesamtwert = λ·techn. + (1−λ)·wirt.</t>
  </si>
  <si>
    <t>Gewicht technische Achse  λ (0–1)</t>
  </si>
  <si>
    <t>Gewicht wirtschaftliche Achse  (1−λ)</t>
  </si>
  <si>
    <t>Technische Wertigkeit</t>
  </si>
  <si>
    <t>Wirtschaftliche Wertigkeit</t>
  </si>
  <si>
    <t>Gesamtwert = λ·T + (1−λ)·W</t>
  </si>
  <si>
    <t>Empfehlung bei diesem λ</t>
  </si>
  <si>
    <t>Kipppunkt λ*  (technisches Gewicht, ab dem die Empfehlung wechselt)</t>
  </si>
  <si>
    <t>Jahreskostendifferenz ATXM − ATXD (€/a)</t>
  </si>
  <si>
    <t>Technischer Vorsprung ATXM (Δ Wertigkeit)</t>
  </si>
  <si>
    <t>Lesart: Der ATXM-Aufpreis lohnt, sobald dir der technische Vorsprung mehr wert ist als die Kostendifferenz – im Modell: sobald du der Technik ein Gewicht λ ≥ λ* gibst.</t>
  </si>
  <si>
    <t>Bandbreite über das gesamte λ (zeigt Robustheit / Kipppunkt)</t>
  </si>
  <si>
    <t>λ (techn.)</t>
  </si>
  <si>
    <t>Gesamtwert ATXD</t>
  </si>
  <si>
    <t>Gesamtwert ATXM</t>
  </si>
  <si>
    <t>vorn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</si>
</sst>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&quot; €&quot;"/>
    <numFmt numFmtId="165" formatCode="0.0%"/>
    <numFmt numFmtId="166" formatCode="0.0000"/>
    <numFmt numFmtId="167" formatCode="0.000"/>
    <numFmt numFmtId="168" formatCode="0.0"/>
    <numFmt numFmtId="169" formatCode="#,##0.0"/>
  </numFmts>
  <fonts count="14" x14ac:knownFonts="1">
    <font>
      <sz val="11"/>
      <color theme="1"/>
      <name val="Calibri"/>
      <family val="2"/>
      <charset val="1"/>
    </font>
    <font>
      <b/>
      <sz val="15"/>
      <name val="Arial"/>
      <charset val="1"/>
    </font>
    <font>
      <i/>
      <sz val="10"/>
      <color rgb="FF595959"/>
      <name val="Arial"/>
      <charset val="1"/>
    </font>
    <font>
      <b/>
      <sz val="11"/>
      <name val="Arial"/>
      <charset val="1"/>
    </font>
    <font>
      <sz val="11"/>
      <name val="Arial"/>
      <charset val="1"/>
    </font>
    <font>
      <sz val="11"/>
      <color rgb="FF008000"/>
      <name val="Arial"/>
      <charset val="1"/>
    </font>
    <font>
      <sz val="11"/>
      <color rgb="FF0000FF"/>
      <name val="Arial"/>
      <charset val="1"/>
    </font>
    <font>
      <sz val="10"/>
      <color rgb="FFC00000"/>
      <name val="Arial"/>
      <charset val="1"/>
    </font>
    <font>
      <b/>
      <sz val="13"/>
      <name val="Arial"/>
      <charset val="1"/>
    </font>
    <font>
      <b/>
      <sz val="10"/>
      <color rgb="FFFFFFFF"/>
      <name val="Arial"/>
      <charset val="1"/>
    </font>
    <font>
      <sz val="11"/>
      <color rgb="FF000000"/>
      <name val="Arial"/>
      <charset val="1"/>
    </font>
    <font>
      <i/>
      <sz val="9"/>
      <name val="Arial"/>
      <charset val="1"/>
    </font>
    <font>
      <sz val="10"/>
      <name val="Arial"/>
      <family val="2"/>
    </font>
    <font>
      <sz val="9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CE4D6"/>
      </patternFill>
    </fill>
    <fill>
      <patternFill patternType="solid">
        <fgColor rgb="FFDDEBF7"/>
        <bgColor rgb="FFE2EFDA"/>
      </patternFill>
    </fill>
    <fill>
      <patternFill patternType="solid">
        <fgColor rgb="FFFCE4D6"/>
        <bgColor rgb="FFFFF2CC"/>
      </patternFill>
    </fill>
    <fill>
      <patternFill patternType="solid">
        <fgColor rgb="FF404040"/>
        <bgColor rgb="FF333300"/>
      </patternFill>
    </fill>
    <fill>
      <patternFill patternType="solid">
        <fgColor rgb="FFF2F2F2"/>
        <bgColor rgb="FFE2EFDA"/>
      </patternFill>
    </fill>
    <fill>
      <patternFill patternType="solid">
        <fgColor rgb="FFE2EFDA"/>
        <b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64" fontId="5" fillId="0" borderId="1" xfId="0" applyNumberFormat="1" applyFont="1" applyBorder="1" applyAlignment="1"/>
    <xf numFmtId="164" fontId="6" fillId="2" borderId="1" xfId="0" applyNumberFormat="1" applyFont="1" applyFill="1" applyBorder="1" applyAlignment="1"/>
    <xf numFmtId="0" fontId="7" fillId="0" borderId="0" xfId="0" applyFont="1" applyAlignment="1"/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/>
    <xf numFmtId="0" fontId="4" fillId="3" borderId="0" xfId="0" applyFont="1" applyFill="1" applyAlignment="1"/>
    <xf numFmtId="0" fontId="4" fillId="4" borderId="0" xfId="0" applyFont="1" applyFill="1" applyAlignment="1"/>
    <xf numFmtId="0" fontId="4" fillId="2" borderId="0" xfId="0" applyFont="1" applyFill="1" applyAlignment="1"/>
    <xf numFmtId="165" fontId="6" fillId="2" borderId="1" xfId="0" applyNumberFormat="1" applyFont="1" applyFill="1" applyBorder="1" applyAlignment="1"/>
    <xf numFmtId="1" fontId="6" fillId="2" borderId="1" xfId="0" applyNumberFormat="1" applyFont="1" applyFill="1" applyBorder="1" applyAlignment="1"/>
    <xf numFmtId="2" fontId="6" fillId="2" borderId="1" xfId="0" applyNumberFormat="1" applyFont="1" applyFill="1" applyBorder="1" applyAlignment="1"/>
    <xf numFmtId="166" fontId="0" fillId="0" borderId="1" xfId="0" applyNumberFormat="1" applyBorder="1" applyAlignment="1"/>
    <xf numFmtId="0" fontId="9" fillId="5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/>
    <xf numFmtId="3" fontId="10" fillId="0" borderId="1" xfId="0" applyNumberFormat="1" applyFont="1" applyBorder="1" applyAlignment="1"/>
    <xf numFmtId="3" fontId="3" fillId="6" borderId="1" xfId="0" applyNumberFormat="1" applyFont="1" applyFill="1" applyBorder="1" applyAlignment="1"/>
    <xf numFmtId="167" fontId="10" fillId="7" borderId="1" xfId="0" applyNumberFormat="1" applyFont="1" applyFill="1" applyBorder="1" applyAlignment="1"/>
    <xf numFmtId="0" fontId="11" fillId="0" borderId="0" xfId="0" applyFont="1" applyAlignment="1"/>
    <xf numFmtId="0" fontId="13" fillId="0" borderId="0" xfId="0" applyFont="1" applyAlignment="1"/>
    <xf numFmtId="0" fontId="10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5" fontId="10" fillId="2" borderId="1" xfId="0" applyNumberFormat="1" applyFont="1" applyFill="1" applyBorder="1" applyAlignment="1"/>
    <xf numFmtId="2" fontId="0" fillId="0" borderId="1" xfId="0" applyNumberForma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65" fontId="3" fillId="0" borderId="1" xfId="0" applyNumberFormat="1" applyFont="1" applyBorder="1" applyAlignment="1"/>
    <xf numFmtId="2" fontId="3" fillId="0" borderId="1" xfId="0" applyNumberFormat="1" applyFont="1" applyBorder="1" applyAlignment="1"/>
    <xf numFmtId="167" fontId="0" fillId="7" borderId="1" xfId="0" applyNumberFormat="1" applyFill="1" applyBorder="1" applyAlignment="1"/>
    <xf numFmtId="0" fontId="0" fillId="0" borderId="1" xfId="0" applyFont="1" applyBorder="1" applyAlignment="1"/>
    <xf numFmtId="167" fontId="0" fillId="0" borderId="1" xfId="0" applyNumberFormat="1" applyBorder="1" applyAlignment="1"/>
    <xf numFmtId="2" fontId="0" fillId="0" borderId="1" xfId="0" applyNumberFormat="1" applyBorder="1" applyAlignment="1"/>
    <xf numFmtId="167" fontId="5" fillId="0" borderId="1" xfId="0" applyNumberFormat="1" applyFont="1" applyBorder="1" applyAlignment="1"/>
    <xf numFmtId="167" fontId="3" fillId="6" borderId="1" xfId="0" applyNumberFormat="1" applyFont="1" applyFill="1" applyBorder="1" applyAlignment="1"/>
    <xf numFmtId="0" fontId="3" fillId="7" borderId="1" xfId="0" applyFont="1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9" fontId="5" fillId="0" borderId="1" xfId="0" applyNumberFormat="1" applyFont="1" applyBorder="1" applyAlignment="1"/>
    <xf numFmtId="0" fontId="0" fillId="0" borderId="1" xfId="0" applyBorder="1" applyAlignment="1">
      <alignment horizontal="center" vertical="center" wrapText="1"/>
    </xf>
  </cellXfs>
  <cellStyles count="1">
    <cellStyle name="Standard" xfId="0" builtinId="0"/>
  </cellStyles>
  <dxfs count="3"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C0504D"/>
      <rgbColor rgb="FFFFF2CC"/>
      <rgbColor rgb="FFDD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DA"/>
      <rgbColor rgb="FFC6EFCE"/>
      <rgbColor rgb="FFFFEB9C"/>
      <rgbColor rgb="FFF2F2F2"/>
      <rgbColor rgb="FFFCE4D6"/>
      <rgbColor rgb="FFCC99FF"/>
      <rgbColor rgb="FFFFC7CE"/>
      <rgbColor rgb="FF3366FF"/>
      <rgbColor rgb="FF33CCCC"/>
      <rgbColor rgb="FF99CC00"/>
      <rgbColor rgb="FFFFC000"/>
      <rgbColor rgb="FFFF9900"/>
      <rgbColor rgb="FFFF6600"/>
      <rgbColor rgb="FF595959"/>
      <rgbColor rgb="FFB3B3B3"/>
      <rgbColor rgb="FF003366"/>
      <rgbColor rgb="FF70AD47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s-Diagramm  (Ideal = 1/1, rechts oben)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ATXD35</c:v>
          </c:tx>
          <c:spPr>
            <a:ln w="28440">
              <a:noFill/>
            </a:ln>
          </c:spPr>
          <c:marker>
            <c:symbol val="circle"/>
            <c:size val="11"/>
            <c:spPr>
              <a:solidFill>
                <a:srgbClr val="C0504D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's-Diagramm'!$B$4</c:f>
              <c:numCache>
                <c:formatCode>0.000</c:formatCode>
                <c:ptCount val="1"/>
                <c:pt idx="0">
                  <c:v>0.42625000000000002</c:v>
                </c:pt>
              </c:numCache>
            </c:numRef>
          </c:xVal>
          <c:yVal>
            <c:numRef>
              <c:f>'s-Diagramm'!$C$4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6CA-4A16-807C-208683D270CC}"/>
            </c:ext>
          </c:extLst>
        </c:ser>
        <c:ser>
          <c:idx val="1"/>
          <c:order val="1"/>
          <c:tx>
            <c:v>ATXM35</c:v>
          </c:tx>
          <c:spPr>
            <a:ln w="28440">
              <a:noFill/>
            </a:ln>
          </c:spPr>
          <c:marker>
            <c:symbol val="circle"/>
            <c:size val="11"/>
            <c:spPr>
              <a:solidFill>
                <a:srgbClr val="70AD47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's-Diagramm'!$B$5</c:f>
              <c:numCache>
                <c:formatCode>0.000</c:formatCode>
                <c:ptCount val="1"/>
                <c:pt idx="0">
                  <c:v>0.78174999999999994</c:v>
                </c:pt>
              </c:numCache>
            </c:numRef>
          </c:xVal>
          <c:yVal>
            <c:numRef>
              <c:f>'s-Diagramm'!$C$5</c:f>
              <c:numCache>
                <c:formatCode>0.000</c:formatCode>
                <c:ptCount val="1"/>
                <c:pt idx="0">
                  <c:v>0.99158564041145569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6CA-4A16-807C-208683D270CC}"/>
            </c:ext>
          </c:extLst>
        </c:ser>
        <c:ser>
          <c:idx val="2"/>
          <c:order val="2"/>
          <c:tx>
            <c:v>Ideal</c:v>
          </c:tx>
          <c:spPr>
            <a:ln w="28440">
              <a:noFill/>
            </a:ln>
          </c:spPr>
          <c:marker>
            <c:symbol val="diamond"/>
            <c:size val="11"/>
            <c:spPr>
              <a:solidFill>
                <a:srgbClr val="FFC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's-Diagramm'!$B$6</c:f>
              <c:numCache>
                <c:formatCode>0.000</c:formatCode>
                <c:ptCount val="1"/>
                <c:pt idx="0">
                  <c:v>1</c:v>
                </c:pt>
              </c:numCache>
            </c:numRef>
          </c:xVal>
          <c:yVal>
            <c:numRef>
              <c:f>'s-Diagramm'!$C$6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6CA-4A16-807C-208683D2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981856"/>
        <c:axId val="22975740"/>
      </c:scatterChart>
      <c:valAx>
        <c:axId val="65981856"/>
        <c:scaling>
          <c:orientation val="minMax"/>
          <c:max val="1.05"/>
          <c:min val="0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Technische Wertigkeit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2975740"/>
        <c:crosses val="autoZero"/>
        <c:crossBetween val="midCat"/>
        <c:majorUnit val="0.2"/>
      </c:valAx>
      <c:valAx>
        <c:axId val="22975740"/>
        <c:scaling>
          <c:orientation val="minMax"/>
          <c:max val="1.05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Wirtschaftliche Wertigkeit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5981856"/>
        <c:crosses val="autoZero"/>
        <c:crossBetween val="midCat"/>
        <c:majorUnit val="0.2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Gesamtwert über </a:t>
            </a:r>
            <a:r>
              <a:rPr lang="el-GR" sz="1800" b="1" strike="noStrike" spc="-1">
                <a:solidFill>
                  <a:srgbClr val="000000"/>
                </a:solidFill>
                <a:latin typeface="Calibri"/>
              </a:rPr>
              <a:t>λ  (</a:t>
            </a: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Schnittpunkt = Kipppunkt </a:t>
            </a:r>
            <a:r>
              <a:rPr lang="el-GR" sz="1800" b="1" strike="noStrike" spc="-1">
                <a:solidFill>
                  <a:srgbClr val="000000"/>
                </a:solidFill>
                <a:latin typeface="Calibri"/>
              </a:rPr>
              <a:t>λ*)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ATXD35</c:v>
          </c:tx>
          <c:spPr>
            <a:ln w="28080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Gesamtabwägung!$A$22:$A$32</c:f>
              <c:numCache>
                <c:formatCode>0.0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Gesamtabwägung!$B$22:$B$32</c:f>
              <c:numCache>
                <c:formatCode>0.000</c:formatCode>
                <c:ptCount val="11"/>
                <c:pt idx="0">
                  <c:v>1</c:v>
                </c:pt>
                <c:pt idx="1">
                  <c:v>0.94262500000000005</c:v>
                </c:pt>
                <c:pt idx="2">
                  <c:v>0.88525000000000009</c:v>
                </c:pt>
                <c:pt idx="3">
                  <c:v>0.82787499999999992</c:v>
                </c:pt>
                <c:pt idx="4">
                  <c:v>0.77049999999999996</c:v>
                </c:pt>
                <c:pt idx="5">
                  <c:v>0.71312500000000001</c:v>
                </c:pt>
                <c:pt idx="6">
                  <c:v>0.65575000000000006</c:v>
                </c:pt>
                <c:pt idx="7">
                  <c:v>0.5983750000000001</c:v>
                </c:pt>
                <c:pt idx="8">
                  <c:v>0.54099999999999993</c:v>
                </c:pt>
                <c:pt idx="9">
                  <c:v>0.48362500000000003</c:v>
                </c:pt>
                <c:pt idx="10">
                  <c:v>0.42625000000000002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98-4A65-812D-E5F1F01102DB}"/>
            </c:ext>
          </c:extLst>
        </c:ser>
        <c:ser>
          <c:idx val="1"/>
          <c:order val="1"/>
          <c:tx>
            <c:v>ATXM35</c:v>
          </c:tx>
          <c:spPr>
            <a:ln w="2808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Gesamtabwägung!$A$22:$A$32</c:f>
              <c:numCache>
                <c:formatCode>0.0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Gesamtabwägung!$C$22:$C$32</c:f>
              <c:numCache>
                <c:formatCode>0.000</c:formatCode>
                <c:ptCount val="11"/>
                <c:pt idx="0">
                  <c:v>0.99158564041145569</c:v>
                </c:pt>
                <c:pt idx="1">
                  <c:v>0.97060207637031015</c:v>
                </c:pt>
                <c:pt idx="2">
                  <c:v>0.94961851232916461</c:v>
                </c:pt>
                <c:pt idx="3">
                  <c:v>0.92863494828801896</c:v>
                </c:pt>
                <c:pt idx="4">
                  <c:v>0.90765138424687342</c:v>
                </c:pt>
                <c:pt idx="5">
                  <c:v>0.88666782020572787</c:v>
                </c:pt>
                <c:pt idx="6">
                  <c:v>0.86568425616458233</c:v>
                </c:pt>
                <c:pt idx="7">
                  <c:v>0.84470069212343679</c:v>
                </c:pt>
                <c:pt idx="8">
                  <c:v>0.82371712808229103</c:v>
                </c:pt>
                <c:pt idx="9">
                  <c:v>0.80273356404114549</c:v>
                </c:pt>
                <c:pt idx="10">
                  <c:v>0.78174999999999994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98-4A65-812D-E5F1F0110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0155"/>
        <c:axId val="79971224"/>
      </c:scatterChart>
      <c:valAx>
        <c:axId val="13520155"/>
        <c:scaling>
          <c:orientation val="minMax"/>
          <c:max val="1"/>
          <c:min val="0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l-GR" sz="1000" b="1" strike="noStrike" spc="-1">
                    <a:solidFill>
                      <a:srgbClr val="000000"/>
                    </a:solidFill>
                    <a:latin typeface="Calibri"/>
                  </a:rPr>
                  <a:t>λ  (</a:t>
                </a: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Gewicht technische Achse)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9971224"/>
        <c:crosses val="autoZero"/>
        <c:crossBetween val="midCat"/>
        <c:majorUnit val="0.2"/>
      </c:valAx>
      <c:valAx>
        <c:axId val="7997122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Gesamtwert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520155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175680</xdr:rowOff>
    </xdr:from>
    <xdr:to>
      <xdr:col>13</xdr:col>
      <xdr:colOff>254520</xdr:colOff>
      <xdr:row>24</xdr:row>
      <xdr:rowOff>112320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176040</xdr:rowOff>
    </xdr:from>
    <xdr:to>
      <xdr:col>15</xdr:col>
      <xdr:colOff>3600</xdr:colOff>
      <xdr:row>18</xdr:row>
      <xdr:rowOff>140400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Normal="100" workbookViewId="0">
      <selection activeCell="A16" sqref="A16"/>
    </sheetView>
  </sheetViews>
  <sheetFormatPr baseColWidth="10" defaultColWidth="8.7109375" defaultRowHeight="15" x14ac:dyDescent="0.25"/>
  <cols>
    <col min="1" max="1" width="98" style="1" customWidth="1"/>
    <col min="2" max="2" width="16" style="1" customWidth="1"/>
  </cols>
  <sheetData>
    <row r="1" spans="1:6" ht="18" customHeight="1" x14ac:dyDescent="0.3">
      <c r="A1" s="2" t="s">
        <v>0</v>
      </c>
      <c r="E1" s="3" t="s">
        <v>1</v>
      </c>
      <c r="F1" s="3">
        <f>IF(OR(B5&lt;=0.5,B15&gt;=B5),1,IF(B16&lt;=B5,3,2))</f>
        <v>1</v>
      </c>
    </row>
    <row r="2" spans="1:6" ht="15" customHeight="1" x14ac:dyDescent="0.25">
      <c r="A2" s="3" t="s">
        <v>2</v>
      </c>
    </row>
    <row r="4" spans="1:6" ht="15" customHeight="1" x14ac:dyDescent="0.25">
      <c r="A4" s="4" t="s">
        <v>3</v>
      </c>
    </row>
    <row r="5" spans="1:6" ht="15" customHeight="1" x14ac:dyDescent="0.25">
      <c r="A5" s="5" t="s">
        <v>4</v>
      </c>
      <c r="B5" s="6">
        <f>Wirtschaftlichkeit!C20-Wirtschaftlichkeit!B20</f>
        <v>3.5622847146801746</v>
      </c>
    </row>
    <row r="6" spans="1:6" ht="15" customHeight="1" x14ac:dyDescent="0.25">
      <c r="A6" s="5" t="str">
        <f>IF(B5&gt;0.5,"Die ATXM kostet rund "&amp;TEXT(B5,"0")&amp;" € mehr pro Jahr.",IF(B5&lt;-0.5,"Die ATXM ist sogar rund "&amp;TEXT(-B5,"0")&amp;" € günstiger pro Jahr.","Beide kosten praktisch gleich viel pro Jahr."))</f>
        <v>Die ATXM kostet rund 4 € mehr pro Jahr.</v>
      </c>
    </row>
    <row r="8" spans="1:6" ht="15" customHeight="1" x14ac:dyDescent="0.25">
      <c r="A8" s="4" t="s">
        <v>5</v>
      </c>
    </row>
    <row r="9" spans="1:6" ht="15" customHeight="1" x14ac:dyDescent="0.25">
      <c r="A9" s="5" t="s">
        <v>6</v>
      </c>
    </row>
    <row r="10" spans="1:6" ht="15" customHeight="1" x14ac:dyDescent="0.25">
      <c r="A10" s="5" t="s">
        <v>7</v>
      </c>
    </row>
    <row r="11" spans="1:6" ht="15" customHeight="1" x14ac:dyDescent="0.25">
      <c r="A11" s="5" t="s">
        <v>8</v>
      </c>
    </row>
    <row r="12" spans="1:6" ht="15" customHeight="1" x14ac:dyDescent="0.25">
      <c r="A12" s="5" t="s">
        <v>9</v>
      </c>
    </row>
    <row r="14" spans="1:6" ht="15" customHeight="1" x14ac:dyDescent="0.25">
      <c r="A14" s="4" t="s">
        <v>10</v>
      </c>
    </row>
    <row r="15" spans="1:6" ht="15" customHeight="1" x14ac:dyDescent="0.25">
      <c r="A15" s="5" t="s">
        <v>11</v>
      </c>
      <c r="B15" s="7">
        <v>10</v>
      </c>
    </row>
    <row r="16" spans="1:6" ht="15" customHeight="1" x14ac:dyDescent="0.25">
      <c r="A16" s="5" t="s">
        <v>12</v>
      </c>
      <c r="B16" s="7">
        <v>60</v>
      </c>
    </row>
    <row r="17" spans="1:1" ht="15" customHeight="1" x14ac:dyDescent="0.25">
      <c r="A17" s="3" t="s">
        <v>13</v>
      </c>
    </row>
    <row r="18" spans="1:1" ht="15" customHeight="1" x14ac:dyDescent="0.25">
      <c r="A18" s="8" t="str">
        <f>IF(B15&gt;B16,"Hinweis: Mindestwert ist größer als Höchstwert – bitte tauschen.","")</f>
        <v/>
      </c>
    </row>
    <row r="20" spans="1:1" ht="15" customHeight="1" x14ac:dyDescent="0.25">
      <c r="A20" s="4" t="s">
        <v>14</v>
      </c>
    </row>
    <row r="21" spans="1:1" ht="15.75" customHeight="1" x14ac:dyDescent="0.25">
      <c r="A21" s="9" t="str">
        <f>IF($F$1=1,"→ Klar die ATXM – lohnt sich robust.",IF($F$1=3,"→ Die ATXD reicht – die ATXM lohnt sich auch im besten Fall nicht.","→ Grenzfall – hier entscheidet deine Einschätzung."))</f>
        <v>→ Klar die ATXM – lohnt sich robust.</v>
      </c>
    </row>
    <row r="22" spans="1:1" ht="15" customHeight="1" x14ac:dyDescent="0.25">
      <c r="A22" s="10" t="str">
        <f>IF($F$1=1,IF(B5&lt;=0.5,"Die ATXM ist nicht teurer, dazu mehr Komfort.","Schon dein Mindestwert ("&amp;TEXT(B15,"0")&amp;" €) liegt über dem Mehrpreis ("&amp;TEXT(B5,"0")&amp;" €)."),IF($F$1=3,"Selbst dein Höchstwert ("&amp;TEXT(B16,"0")&amp;" €) liegt unter dem Mehrpreis ("&amp;TEXT(B5,"0")&amp;" €).","Der Mehrpreis ("&amp;TEXT(B5,"0")&amp;" €) liegt in deiner Spanne ("&amp;TEXT(B15,"0")&amp;"–"&amp;TEXT(B16,"0")&amp;" €). Hier lohnt genaueres Hinschauen."))</f>
        <v>Schon dein Mindestwert (10 €) liegt über dem Mehrpreis (4 €).</v>
      </c>
    </row>
    <row r="24" spans="1:1" ht="15" customHeight="1" x14ac:dyDescent="0.25">
      <c r="A24" s="4" t="s">
        <v>15</v>
      </c>
    </row>
    <row r="25" spans="1:1" ht="15" customHeight="1" x14ac:dyDescent="0.25">
      <c r="A25" s="5" t="str">
        <f>IF(B5&lt;=0.5,"Die ATXM ist nicht teurer – im Zweifel die bessere Wahl.","Die ATXM lohnt sich, sobald dir der Komfort mehr als rund "&amp;TEXT(B5,"0")&amp;" € pro Jahr wert ist.")</f>
        <v>Die ATXM lohnt sich, sobald dir der Komfort mehr als rund 4 € pro Jahr wert ist.</v>
      </c>
    </row>
    <row r="27" spans="1:1" ht="15" customHeight="1" x14ac:dyDescent="0.25">
      <c r="A27" s="3" t="s">
        <v>16</v>
      </c>
    </row>
  </sheetData>
  <conditionalFormatting sqref="A21:A22">
    <cfRule type="expression" dxfId="2" priority="2">
      <formula>$F$1=1</formula>
    </cfRule>
    <cfRule type="expression" dxfId="1" priority="3">
      <formula>$F$1=2</formula>
    </cfRule>
    <cfRule type="expression" dxfId="0" priority="4">
      <formula>$F$1=3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showGridLines="0" zoomScaleNormal="100" workbookViewId="0"/>
  </sheetViews>
  <sheetFormatPr baseColWidth="10" defaultColWidth="8.7109375" defaultRowHeight="15" x14ac:dyDescent="0.25"/>
  <cols>
    <col min="1" max="1" width="112" style="1" customWidth="1"/>
  </cols>
  <sheetData>
    <row r="1" spans="1:1" ht="15.75" customHeight="1" x14ac:dyDescent="0.25">
      <c r="A1" s="11" t="s">
        <v>17</v>
      </c>
    </row>
    <row r="2" spans="1:1" ht="15" customHeight="1" x14ac:dyDescent="0.25">
      <c r="A2" s="5"/>
    </row>
    <row r="3" spans="1:1" ht="15" customHeight="1" x14ac:dyDescent="0.25">
      <c r="A3" s="5" t="s">
        <v>18</v>
      </c>
    </row>
    <row r="4" spans="1:1" ht="15" customHeight="1" x14ac:dyDescent="0.25">
      <c r="A4" s="5"/>
    </row>
    <row r="5" spans="1:1" ht="15" customHeight="1" x14ac:dyDescent="0.25">
      <c r="A5" s="4" t="s">
        <v>19</v>
      </c>
    </row>
    <row r="6" spans="1:1" ht="15" customHeight="1" x14ac:dyDescent="0.25">
      <c r="A6" s="4" t="s">
        <v>20</v>
      </c>
    </row>
    <row r="7" spans="1:1" ht="15" customHeight="1" x14ac:dyDescent="0.25">
      <c r="A7" s="5" t="s">
        <v>21</v>
      </c>
    </row>
    <row r="8" spans="1:1" ht="15" customHeight="1" x14ac:dyDescent="0.25">
      <c r="A8" s="5" t="s">
        <v>22</v>
      </c>
    </row>
    <row r="9" spans="1:1" ht="15" customHeight="1" x14ac:dyDescent="0.25">
      <c r="A9" s="5" t="s">
        <v>23</v>
      </c>
    </row>
    <row r="10" spans="1:1" ht="15" customHeight="1" x14ac:dyDescent="0.25">
      <c r="A10" s="4" t="s">
        <v>24</v>
      </c>
    </row>
    <row r="11" spans="1:1" ht="15" customHeight="1" x14ac:dyDescent="0.25">
      <c r="A11" s="5" t="s">
        <v>25</v>
      </c>
    </row>
    <row r="12" spans="1:1" ht="15" customHeight="1" x14ac:dyDescent="0.25">
      <c r="A12" s="4" t="s">
        <v>26</v>
      </c>
    </row>
    <row r="13" spans="1:1" ht="15" customHeight="1" x14ac:dyDescent="0.25">
      <c r="A13" s="5" t="s">
        <v>27</v>
      </c>
    </row>
    <row r="14" spans="1:1" ht="15" customHeight="1" x14ac:dyDescent="0.25">
      <c r="A14" s="5"/>
    </row>
    <row r="15" spans="1:1" ht="15" customHeight="1" x14ac:dyDescent="0.25">
      <c r="A15" s="4" t="s">
        <v>28</v>
      </c>
    </row>
    <row r="16" spans="1:1" ht="15" customHeight="1" x14ac:dyDescent="0.25">
      <c r="A16" s="5" t="s">
        <v>29</v>
      </c>
    </row>
    <row r="17" spans="1:1" ht="15" customHeight="1" x14ac:dyDescent="0.25">
      <c r="A17" s="5"/>
    </row>
    <row r="18" spans="1:1" ht="15" customHeight="1" x14ac:dyDescent="0.25">
      <c r="A18" s="4" t="s">
        <v>30</v>
      </c>
    </row>
    <row r="19" spans="1:1" ht="15" customHeight="1" x14ac:dyDescent="0.25">
      <c r="A19" s="12" t="s">
        <v>31</v>
      </c>
    </row>
    <row r="20" spans="1:1" ht="15" customHeight="1" x14ac:dyDescent="0.25">
      <c r="A20" s="13" t="s">
        <v>32</v>
      </c>
    </row>
    <row r="21" spans="1:1" ht="15" customHeight="1" x14ac:dyDescent="0.25">
      <c r="A21" s="14" t="s">
        <v>33</v>
      </c>
    </row>
    <row r="22" spans="1:1" ht="15" customHeight="1" x14ac:dyDescent="0.25">
      <c r="A22" s="5" t="s">
        <v>34</v>
      </c>
    </row>
    <row r="23" spans="1:1" ht="15" customHeight="1" x14ac:dyDescent="0.25">
      <c r="A23" s="5"/>
    </row>
    <row r="24" spans="1:1" ht="15" customHeight="1" x14ac:dyDescent="0.25">
      <c r="A24" s="5" t="s">
        <v>35</v>
      </c>
    </row>
    <row r="25" spans="1:1" ht="15" customHeight="1" x14ac:dyDescent="0.25">
      <c r="A25" s="5" t="s">
        <v>36</v>
      </c>
    </row>
    <row r="27" spans="1:1" ht="15" customHeight="1" x14ac:dyDescent="0.25">
      <c r="A27" s="4" t="s">
        <v>37</v>
      </c>
    </row>
    <row r="28" spans="1:1" ht="15" customHeight="1" x14ac:dyDescent="0.25">
      <c r="A28" s="5" t="s">
        <v>38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showGridLines="0" zoomScaleNormal="100" workbookViewId="0">
      <selection activeCell="C16" sqref="C16"/>
    </sheetView>
  </sheetViews>
  <sheetFormatPr baseColWidth="10" defaultColWidth="8.7109375" defaultRowHeight="15" x14ac:dyDescent="0.25"/>
  <cols>
    <col min="1" max="1" width="40" style="1" customWidth="1"/>
    <col min="2" max="3" width="13" style="1" customWidth="1"/>
  </cols>
  <sheetData>
    <row r="1" spans="1:3" ht="15.75" customHeight="1" x14ac:dyDescent="0.25">
      <c r="A1" s="11" t="s">
        <v>39</v>
      </c>
    </row>
    <row r="3" spans="1:3" ht="15" customHeight="1" x14ac:dyDescent="0.25">
      <c r="A3" s="4" t="s">
        <v>40</v>
      </c>
    </row>
    <row r="4" spans="1:3" ht="15" customHeight="1" x14ac:dyDescent="0.25">
      <c r="A4" s="5" t="s">
        <v>41</v>
      </c>
      <c r="B4" s="15">
        <v>0.02</v>
      </c>
    </row>
    <row r="5" spans="1:3" ht="15" customHeight="1" x14ac:dyDescent="0.25">
      <c r="A5" s="5" t="s">
        <v>42</v>
      </c>
      <c r="B5" s="16">
        <v>10</v>
      </c>
    </row>
    <row r="6" spans="1:3" ht="15" customHeight="1" x14ac:dyDescent="0.25">
      <c r="A6" s="5" t="s">
        <v>43</v>
      </c>
      <c r="B6" s="17">
        <v>0.3</v>
      </c>
    </row>
    <row r="7" spans="1:3" ht="15" customHeight="1" x14ac:dyDescent="0.25">
      <c r="A7" s="5" t="s">
        <v>44</v>
      </c>
      <c r="B7" s="15">
        <v>0.01</v>
      </c>
    </row>
    <row r="8" spans="1:3" ht="15" customHeight="1" x14ac:dyDescent="0.25">
      <c r="A8" s="5" t="s">
        <v>45</v>
      </c>
      <c r="B8" s="15">
        <v>5.0000000000000001E-3</v>
      </c>
    </row>
    <row r="10" spans="1:3" ht="15" customHeight="1" x14ac:dyDescent="0.25">
      <c r="A10" s="5" t="s">
        <v>46</v>
      </c>
      <c r="B10" s="18">
        <f>($B$4*(1+$B$4)^$B$5)/((1+$B$4)^$B$5-1)</f>
        <v>0.11132652786531647</v>
      </c>
    </row>
    <row r="11" spans="1:3" ht="15" customHeight="1" x14ac:dyDescent="0.25">
      <c r="A11" s="5" t="s">
        <v>47</v>
      </c>
      <c r="B11" s="18">
        <f>IF(ABS((1+$B$4)-(1+$B$7))&lt;0.000000001,$B$5/(1+$B$4),(1-((1+$B$7)/(1+$B$4))^$B$5)/((1+$B$4)-(1+$B$7)))</f>
        <v>9.3825117414437251</v>
      </c>
    </row>
    <row r="13" spans="1:3" ht="15" customHeight="1" x14ac:dyDescent="0.25">
      <c r="B13" s="19" t="s">
        <v>48</v>
      </c>
      <c r="C13" s="19" t="s">
        <v>49</v>
      </c>
    </row>
    <row r="14" spans="1:3" ht="15" customHeight="1" x14ac:dyDescent="0.25">
      <c r="A14" s="5" t="s">
        <v>50</v>
      </c>
      <c r="B14" s="20">
        <v>915</v>
      </c>
      <c r="C14" s="20">
        <v>1215</v>
      </c>
    </row>
    <row r="15" spans="1:3" ht="15" customHeight="1" x14ac:dyDescent="0.25">
      <c r="A15" s="5" t="s">
        <v>51</v>
      </c>
      <c r="B15" s="20">
        <v>1000</v>
      </c>
      <c r="C15" s="20">
        <v>900</v>
      </c>
    </row>
    <row r="17" spans="1:3" ht="15" customHeight="1" x14ac:dyDescent="0.25">
      <c r="A17" s="5" t="s">
        <v>52</v>
      </c>
      <c r="B17" s="21">
        <f>B14*$B$10</f>
        <v>101.86377299676457</v>
      </c>
      <c r="C17" s="21">
        <f>C14*$B$10</f>
        <v>135.26173135635952</v>
      </c>
    </row>
    <row r="18" spans="1:3" ht="15" customHeight="1" x14ac:dyDescent="0.25">
      <c r="A18" s="5" t="s">
        <v>53</v>
      </c>
      <c r="B18" s="21">
        <f>B15*$B$6*$B$10*$B$11</f>
        <v>313.35673644914812</v>
      </c>
      <c r="C18" s="21">
        <f>C15*$B$6*$B$10*$B$11</f>
        <v>282.02106280423334</v>
      </c>
    </row>
    <row r="19" spans="1:3" ht="15" customHeight="1" x14ac:dyDescent="0.25">
      <c r="A19" s="5" t="s">
        <v>54</v>
      </c>
      <c r="B19" s="21">
        <f>B14*$B$8</f>
        <v>4.5750000000000002</v>
      </c>
      <c r="C19" s="21">
        <f>C14*$B$8</f>
        <v>6.0750000000000002</v>
      </c>
    </row>
    <row r="20" spans="1:3" ht="15" customHeight="1" x14ac:dyDescent="0.25">
      <c r="A20" s="4" t="s">
        <v>55</v>
      </c>
      <c r="B20" s="22">
        <f>SUM(B17:B19)</f>
        <v>419.79550944591267</v>
      </c>
      <c r="C20" s="22">
        <f>SUM(C17:C19)</f>
        <v>423.35779416059285</v>
      </c>
    </row>
    <row r="22" spans="1:3" ht="15" customHeight="1" x14ac:dyDescent="0.25">
      <c r="A22" s="4" t="s">
        <v>56</v>
      </c>
      <c r="B22" s="23">
        <f>MIN($B$20,$C$20)/B20</f>
        <v>1</v>
      </c>
      <c r="C22" s="23">
        <f>MIN($B$20,$C$20)/C20</f>
        <v>0.99158564041145569</v>
      </c>
    </row>
    <row r="23" spans="1:3" ht="15" customHeight="1" x14ac:dyDescent="0.25">
      <c r="A23" s="24" t="s">
        <v>57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"/>
  <sheetViews>
    <sheetView showGridLines="0" zoomScaleNormal="100" workbookViewId="0">
      <selection activeCell="K7" sqref="K7"/>
    </sheetView>
  </sheetViews>
  <sheetFormatPr baseColWidth="10" defaultColWidth="8.7109375" defaultRowHeight="15" x14ac:dyDescent="0.25"/>
  <cols>
    <col min="1" max="1" width="26" style="1" customWidth="1"/>
    <col min="2" max="2" width="17" style="1" customWidth="1"/>
    <col min="3" max="3" width="12" style="1" customWidth="1"/>
    <col min="4" max="4" width="20" style="1" customWidth="1"/>
    <col min="5" max="5" width="12" style="1" customWidth="1"/>
    <col min="6" max="8" width="13" style="1" customWidth="1"/>
    <col min="9" max="10" width="11" style="1" customWidth="1"/>
    <col min="11" max="11" width="10" style="1" customWidth="1"/>
    <col min="12" max="13" width="11" style="1" customWidth="1"/>
  </cols>
  <sheetData>
    <row r="1" spans="1:13" ht="15.75" customHeight="1" x14ac:dyDescent="0.25">
      <c r="A1" s="11" t="s">
        <v>58</v>
      </c>
    </row>
    <row r="2" spans="1:13" ht="15" customHeight="1" x14ac:dyDescent="0.25">
      <c r="A2" s="24" t="s">
        <v>59</v>
      </c>
    </row>
    <row r="3" spans="1:13" ht="23.25" customHeight="1" x14ac:dyDescent="0.25">
      <c r="A3" s="19" t="s">
        <v>60</v>
      </c>
      <c r="B3" s="19" t="s">
        <v>61</v>
      </c>
      <c r="C3" s="19" t="s">
        <v>62</v>
      </c>
      <c r="D3" s="19" t="s">
        <v>63</v>
      </c>
      <c r="E3" s="19" t="s">
        <v>64</v>
      </c>
      <c r="F3" s="19" t="s">
        <v>65</v>
      </c>
      <c r="G3" s="19" t="s">
        <v>66</v>
      </c>
      <c r="H3" s="19" t="s">
        <v>67</v>
      </c>
      <c r="I3" s="19" t="s">
        <v>68</v>
      </c>
      <c r="J3" s="19" t="s">
        <v>69</v>
      </c>
      <c r="K3" s="19" t="s">
        <v>70</v>
      </c>
      <c r="L3" s="19" t="s">
        <v>71</v>
      </c>
      <c r="M3" s="19" t="s">
        <v>72</v>
      </c>
    </row>
    <row r="4" spans="1:13" ht="15" customHeight="1" x14ac:dyDescent="0.25">
      <c r="A4" s="5" t="s">
        <v>73</v>
      </c>
      <c r="B4" s="25" t="s">
        <v>74</v>
      </c>
      <c r="C4" s="25" t="s">
        <v>75</v>
      </c>
      <c r="D4" s="25" t="s">
        <v>76</v>
      </c>
      <c r="E4" s="26">
        <v>62</v>
      </c>
      <c r="F4" s="26">
        <v>54</v>
      </c>
      <c r="G4" s="27">
        <v>59</v>
      </c>
      <c r="H4" s="27">
        <v>57</v>
      </c>
      <c r="I4" s="28">
        <f>MEDIAN(1,10,1+9*(G4-E4)/(F4-E4))</f>
        <v>4.375</v>
      </c>
      <c r="J4" s="28">
        <f>MEDIAN(1,10,1+9*(H4-E4)/(F4-E4))</f>
        <v>6.625</v>
      </c>
      <c r="K4" s="29">
        <v>0.3</v>
      </c>
      <c r="L4" s="30">
        <f>I4*K4</f>
        <v>1.3125</v>
      </c>
      <c r="M4" s="30">
        <f>J4*K4</f>
        <v>1.9874999999999998</v>
      </c>
    </row>
    <row r="5" spans="1:13" ht="15" customHeight="1" x14ac:dyDescent="0.25">
      <c r="A5" s="5" t="s">
        <v>77</v>
      </c>
      <c r="B5" s="25" t="s">
        <v>74</v>
      </c>
      <c r="C5" s="25" t="s">
        <v>78</v>
      </c>
      <c r="D5" s="25" t="s">
        <v>79</v>
      </c>
      <c r="E5" s="26">
        <v>3</v>
      </c>
      <c r="F5" s="26">
        <v>0</v>
      </c>
      <c r="G5" s="31">
        <v>1.5</v>
      </c>
      <c r="H5" s="31">
        <v>0.5</v>
      </c>
      <c r="I5" s="28">
        <f>MEDIAN(1,10,1+9*(G5-E5)/(F5-E5))</f>
        <v>5.5</v>
      </c>
      <c r="J5" s="28">
        <f>MEDIAN(1,10,1+9*(H5-E5)/(F5-E5))</f>
        <v>8.5</v>
      </c>
      <c r="K5" s="29">
        <v>0.3</v>
      </c>
      <c r="L5" s="30">
        <f>I5*K5</f>
        <v>1.65</v>
      </c>
      <c r="M5" s="30">
        <f>J5*K5</f>
        <v>2.5499999999999998</v>
      </c>
    </row>
    <row r="6" spans="1:13" ht="15" customHeight="1" x14ac:dyDescent="0.25">
      <c r="A6" s="5" t="s">
        <v>80</v>
      </c>
      <c r="B6" s="25" t="s">
        <v>81</v>
      </c>
      <c r="C6" s="25" t="s">
        <v>82</v>
      </c>
      <c r="D6" s="25" t="s">
        <v>83</v>
      </c>
      <c r="E6" s="26">
        <v>0</v>
      </c>
      <c r="F6" s="26">
        <v>1</v>
      </c>
      <c r="G6" s="27">
        <v>0</v>
      </c>
      <c r="H6" s="27">
        <v>1</v>
      </c>
      <c r="I6" s="28">
        <f>MEDIAN(1,10,1+9*(G6-E6)/(F6-E6))</f>
        <v>1</v>
      </c>
      <c r="J6" s="28">
        <f>MEDIAN(1,10,1+9*(H6-E6)/(F6-E6))</f>
        <v>10</v>
      </c>
      <c r="K6" s="29">
        <v>0.2</v>
      </c>
      <c r="L6" s="30">
        <f>I6*K6</f>
        <v>0.2</v>
      </c>
      <c r="M6" s="30">
        <f>J6*K6</f>
        <v>2</v>
      </c>
    </row>
    <row r="7" spans="1:13" ht="15" customHeight="1" x14ac:dyDescent="0.25">
      <c r="A7" s="5" t="s">
        <v>84</v>
      </c>
      <c r="B7" s="25" t="s">
        <v>74</v>
      </c>
      <c r="C7" s="25" t="s">
        <v>85</v>
      </c>
      <c r="D7" s="25" t="s">
        <v>86</v>
      </c>
      <c r="E7" s="26">
        <v>90</v>
      </c>
      <c r="F7" s="26">
        <v>40</v>
      </c>
      <c r="G7" s="27">
        <v>55</v>
      </c>
      <c r="H7" s="27">
        <v>75</v>
      </c>
      <c r="I7" s="28">
        <f>MEDIAN(1,10,1+9*(G7-E7)/(F7-E7))</f>
        <v>7.3</v>
      </c>
      <c r="J7" s="28">
        <f>MEDIAN(1,10,1+9*(H7-E7)/(F7-E7))</f>
        <v>3.7</v>
      </c>
      <c r="K7" s="29">
        <v>0.1</v>
      </c>
      <c r="L7" s="30">
        <f>I7*K7</f>
        <v>0.73</v>
      </c>
      <c r="M7" s="30">
        <f>J7*K7</f>
        <v>0.37000000000000005</v>
      </c>
    </row>
    <row r="8" spans="1:13" ht="15" customHeight="1" x14ac:dyDescent="0.25">
      <c r="A8" s="5" t="s">
        <v>87</v>
      </c>
      <c r="B8" s="25" t="s">
        <v>81</v>
      </c>
      <c r="C8" s="25" t="s">
        <v>88</v>
      </c>
      <c r="D8" s="25" t="s">
        <v>89</v>
      </c>
      <c r="E8" s="26">
        <v>0</v>
      </c>
      <c r="F8" s="26">
        <v>1</v>
      </c>
      <c r="G8" s="31">
        <v>0.3</v>
      </c>
      <c r="H8" s="31">
        <v>0.9</v>
      </c>
      <c r="I8" s="28">
        <f>MEDIAN(1,10,1+9*(G8-E8)/(F8-E8))</f>
        <v>3.6999999999999997</v>
      </c>
      <c r="J8" s="28">
        <f>MEDIAN(1,10,1+9*(H8-E8)/(F8-E8))</f>
        <v>9.1</v>
      </c>
      <c r="K8" s="29">
        <v>0.1</v>
      </c>
      <c r="L8" s="30">
        <f>I8*K8</f>
        <v>0.37</v>
      </c>
      <c r="M8" s="30">
        <f>J8*K8</f>
        <v>0.91</v>
      </c>
    </row>
    <row r="9" spans="1:13" ht="15" customHeight="1" x14ac:dyDescent="0.25">
      <c r="A9" s="4" t="s">
        <v>90</v>
      </c>
      <c r="J9" s="32" t="s">
        <v>91</v>
      </c>
      <c r="K9" s="33">
        <f>SUM(K4:K8)</f>
        <v>1</v>
      </c>
      <c r="L9" s="34">
        <f>SUM(L4:L8)</f>
        <v>4.2625000000000002</v>
      </c>
      <c r="M9" s="34">
        <f>SUM(M4:M8)</f>
        <v>7.8174999999999999</v>
      </c>
    </row>
    <row r="11" spans="1:13" ht="15" customHeight="1" x14ac:dyDescent="0.25">
      <c r="A11" s="4" t="s">
        <v>92</v>
      </c>
    </row>
    <row r="12" spans="1:13" ht="15" customHeight="1" x14ac:dyDescent="0.25">
      <c r="A12" s="5" t="s">
        <v>48</v>
      </c>
      <c r="B12" s="35">
        <f>L9/10</f>
        <v>0.42625000000000002</v>
      </c>
    </row>
    <row r="13" spans="1:13" ht="15" customHeight="1" x14ac:dyDescent="0.25">
      <c r="A13" s="5" t="s">
        <v>49</v>
      </c>
      <c r="B13" s="35">
        <f>M9/10</f>
        <v>0.78174999999999994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showGridLines="0" zoomScaleNormal="100" workbookViewId="0"/>
  </sheetViews>
  <sheetFormatPr baseColWidth="10" defaultColWidth="8.7109375" defaultRowHeight="15" x14ac:dyDescent="0.25"/>
  <cols>
    <col min="1" max="3" width="20" style="1" customWidth="1"/>
  </cols>
  <sheetData>
    <row r="1" spans="1:3" ht="15.75" customHeight="1" x14ac:dyDescent="0.25">
      <c r="A1" s="11" t="s">
        <v>93</v>
      </c>
    </row>
    <row r="3" spans="1:3" ht="15" customHeight="1" x14ac:dyDescent="0.25">
      <c r="A3" s="19" t="s">
        <v>94</v>
      </c>
      <c r="B3" s="19" t="s">
        <v>95</v>
      </c>
      <c r="C3" s="19" t="s">
        <v>96</v>
      </c>
    </row>
    <row r="4" spans="1:3" ht="15" customHeight="1" x14ac:dyDescent="0.25">
      <c r="A4" s="36" t="s">
        <v>48</v>
      </c>
      <c r="B4" s="37">
        <f>Nutzwertanalyse!B12</f>
        <v>0.42625000000000002</v>
      </c>
      <c r="C4" s="37">
        <f>Wirtschaftlichkeit!B22</f>
        <v>1</v>
      </c>
    </row>
    <row r="5" spans="1:3" ht="15" customHeight="1" x14ac:dyDescent="0.25">
      <c r="A5" s="36" t="s">
        <v>49</v>
      </c>
      <c r="B5" s="37">
        <f>Nutzwertanalyse!B13</f>
        <v>0.78174999999999994</v>
      </c>
      <c r="C5" s="37">
        <f>Wirtschaftlichkeit!C22</f>
        <v>0.99158564041145569</v>
      </c>
    </row>
    <row r="6" spans="1:3" ht="15" customHeight="1" x14ac:dyDescent="0.25">
      <c r="A6" s="36" t="s">
        <v>97</v>
      </c>
      <c r="B6" s="37">
        <v>1</v>
      </c>
      <c r="C6" s="37">
        <v>1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2"/>
  <sheetViews>
    <sheetView showGridLines="0" zoomScaleNormal="100" workbookViewId="0">
      <selection activeCell="B5" sqref="B5"/>
    </sheetView>
  </sheetViews>
  <sheetFormatPr baseColWidth="10" defaultColWidth="8.7109375" defaultRowHeight="15" x14ac:dyDescent="0.25"/>
  <cols>
    <col min="1" max="1" width="40" style="1" customWidth="1"/>
    <col min="2" max="3" width="17" style="1" customWidth="1"/>
    <col min="4" max="4" width="10" style="1" customWidth="1"/>
  </cols>
  <sheetData>
    <row r="1" spans="1:3" ht="15.75" customHeight="1" x14ac:dyDescent="0.25">
      <c r="A1" s="11" t="s">
        <v>98</v>
      </c>
    </row>
    <row r="2" spans="1:3" ht="15" customHeight="1" x14ac:dyDescent="0.25">
      <c r="A2" s="24" t="s">
        <v>99</v>
      </c>
    </row>
    <row r="4" spans="1:3" ht="15" customHeight="1" x14ac:dyDescent="0.25">
      <c r="A4" s="4" t="s">
        <v>100</v>
      </c>
      <c r="B4" s="17">
        <v>0.3</v>
      </c>
    </row>
    <row r="5" spans="1:3" ht="15" customHeight="1" x14ac:dyDescent="0.25">
      <c r="A5" s="5" t="s">
        <v>101</v>
      </c>
      <c r="B5" s="38">
        <f>1-B4</f>
        <v>0.7</v>
      </c>
    </row>
    <row r="7" spans="1:3" ht="15" customHeight="1" x14ac:dyDescent="0.25">
      <c r="B7" s="19" t="s">
        <v>48</v>
      </c>
      <c r="C7" s="19" t="s">
        <v>49</v>
      </c>
    </row>
    <row r="8" spans="1:3" ht="15" customHeight="1" x14ac:dyDescent="0.25">
      <c r="A8" s="5" t="s">
        <v>102</v>
      </c>
      <c r="B8" s="39">
        <f>Nutzwertanalyse!B12</f>
        <v>0.42625000000000002</v>
      </c>
      <c r="C8" s="39">
        <f>Nutzwertanalyse!B13</f>
        <v>0.78174999999999994</v>
      </c>
    </row>
    <row r="9" spans="1:3" ht="15" customHeight="1" x14ac:dyDescent="0.25">
      <c r="A9" s="5" t="s">
        <v>103</v>
      </c>
      <c r="B9" s="39">
        <f>Wirtschaftlichkeit!B22</f>
        <v>1</v>
      </c>
      <c r="C9" s="39">
        <f>Wirtschaftlichkeit!C22</f>
        <v>0.99158564041145569</v>
      </c>
    </row>
    <row r="10" spans="1:3" ht="15" customHeight="1" x14ac:dyDescent="0.25">
      <c r="A10" s="4" t="s">
        <v>104</v>
      </c>
      <c r="B10" s="40">
        <f>$B$4*B8+$B$5*B9</f>
        <v>0.82787499999999992</v>
      </c>
      <c r="C10" s="40">
        <f>$B$4*C8+$B$5*C9</f>
        <v>0.92863494828801896</v>
      </c>
    </row>
    <row r="12" spans="1:3" ht="15" customHeight="1" x14ac:dyDescent="0.25">
      <c r="A12" s="4" t="s">
        <v>105</v>
      </c>
      <c r="B12" s="41" t="str">
        <f>IF(ABS(B10-C10)&lt;0.000000001,"unentschieden",IF(B10&gt;C10,"ATXD35","ATXM35"))</f>
        <v>ATXM35</v>
      </c>
    </row>
    <row r="14" spans="1:3" ht="32.25" customHeight="1" x14ac:dyDescent="0.25">
      <c r="A14" s="4" t="s">
        <v>106</v>
      </c>
      <c r="B14" s="42">
        <f>IF(ABS((B9-C9)+(C8-B8))&lt;0.000000001,"kein Wechsel",(B9-C9)/((B9-C9)+(C8-B8)))</f>
        <v>2.3121812500220957E-2</v>
      </c>
      <c r="C14" s="43" t="str">
        <f>IF(NOT(ISNUMBER(B14)),"Achsen gleichgerichtet",IF(B14&lt;=0,"ATXM35 über gesamten Bereich vorn",IF(B14&gt;=1,"ATXD35 über gesamten Bereich vorn","unter λ* gewinnt ATXD35, darüber ATXM35")))</f>
        <v>unter λ* gewinnt ATXD35, darüber ATXM35</v>
      </c>
    </row>
    <row r="16" spans="1:3" ht="15" customHeight="1" x14ac:dyDescent="0.25">
      <c r="A16" s="5" t="s">
        <v>107</v>
      </c>
      <c r="B16" s="44">
        <f>Wirtschaftlichkeit!C20-Wirtschaftlichkeit!B20</f>
        <v>3.5622847146801746</v>
      </c>
    </row>
    <row r="17" spans="1:4" ht="15" customHeight="1" x14ac:dyDescent="0.25">
      <c r="A17" s="5" t="s">
        <v>108</v>
      </c>
      <c r="B17" s="37">
        <f>C8-B8</f>
        <v>0.35549999999999993</v>
      </c>
    </row>
    <row r="18" spans="1:4" ht="15" customHeight="1" x14ac:dyDescent="0.25">
      <c r="A18" s="24" t="s">
        <v>109</v>
      </c>
    </row>
    <row r="20" spans="1:4" ht="15" customHeight="1" x14ac:dyDescent="0.25">
      <c r="A20" s="4" t="s">
        <v>110</v>
      </c>
    </row>
    <row r="21" spans="1:4" ht="15" customHeight="1" x14ac:dyDescent="0.25">
      <c r="A21" s="19" t="s">
        <v>111</v>
      </c>
      <c r="B21" s="19" t="s">
        <v>112</v>
      </c>
      <c r="C21" s="19" t="s">
        <v>113</v>
      </c>
      <c r="D21" s="19" t="s">
        <v>114</v>
      </c>
    </row>
    <row r="22" spans="1:4" ht="15" customHeight="1" x14ac:dyDescent="0.25">
      <c r="A22" s="28">
        <v>0</v>
      </c>
      <c r="B22" s="37">
        <f t="shared" ref="B22:B32" si="0">A22*$B$8+(1-A22)*$B$9</f>
        <v>1</v>
      </c>
      <c r="C22" s="37">
        <f t="shared" ref="C22:C32" si="1">A22*$C$8+(1-A22)*$C$9</f>
        <v>0.99158564041145569</v>
      </c>
      <c r="D22" s="45" t="str">
        <f t="shared" ref="D22:D32" si="2">IF(ABS(B22-C22)&lt;0.000000001,"–",IF(B22&gt;C22,"ATXD","ATXM"))</f>
        <v>ATXD</v>
      </c>
    </row>
    <row r="23" spans="1:4" ht="15" customHeight="1" x14ac:dyDescent="0.25">
      <c r="A23" s="28">
        <v>0.1</v>
      </c>
      <c r="B23" s="37">
        <f t="shared" si="0"/>
        <v>0.94262500000000005</v>
      </c>
      <c r="C23" s="37">
        <f t="shared" si="1"/>
        <v>0.97060207637031015</v>
      </c>
      <c r="D23" s="45" t="str">
        <f t="shared" si="2"/>
        <v>ATXM</v>
      </c>
    </row>
    <row r="24" spans="1:4" ht="15" customHeight="1" x14ac:dyDescent="0.25">
      <c r="A24" s="28">
        <v>0.2</v>
      </c>
      <c r="B24" s="37">
        <f t="shared" si="0"/>
        <v>0.88525000000000009</v>
      </c>
      <c r="C24" s="37">
        <f t="shared" si="1"/>
        <v>0.94961851232916461</v>
      </c>
      <c r="D24" s="45" t="str">
        <f t="shared" si="2"/>
        <v>ATXM</v>
      </c>
    </row>
    <row r="25" spans="1:4" ht="15" customHeight="1" x14ac:dyDescent="0.25">
      <c r="A25" s="28">
        <v>0.3</v>
      </c>
      <c r="B25" s="37">
        <f t="shared" si="0"/>
        <v>0.82787499999999992</v>
      </c>
      <c r="C25" s="37">
        <f t="shared" si="1"/>
        <v>0.92863494828801896</v>
      </c>
      <c r="D25" s="45" t="str">
        <f t="shared" si="2"/>
        <v>ATXM</v>
      </c>
    </row>
    <row r="26" spans="1:4" ht="15" customHeight="1" x14ac:dyDescent="0.25">
      <c r="A26" s="28">
        <v>0.4</v>
      </c>
      <c r="B26" s="37">
        <f t="shared" si="0"/>
        <v>0.77049999999999996</v>
      </c>
      <c r="C26" s="37">
        <f t="shared" si="1"/>
        <v>0.90765138424687342</v>
      </c>
      <c r="D26" s="45" t="str">
        <f t="shared" si="2"/>
        <v>ATXM</v>
      </c>
    </row>
    <row r="27" spans="1:4" ht="15" customHeight="1" x14ac:dyDescent="0.25">
      <c r="A27" s="28">
        <v>0.5</v>
      </c>
      <c r="B27" s="37">
        <f t="shared" si="0"/>
        <v>0.71312500000000001</v>
      </c>
      <c r="C27" s="37">
        <f t="shared" si="1"/>
        <v>0.88666782020572787</v>
      </c>
      <c r="D27" s="45" t="str">
        <f t="shared" si="2"/>
        <v>ATXM</v>
      </c>
    </row>
    <row r="28" spans="1:4" ht="15" customHeight="1" x14ac:dyDescent="0.25">
      <c r="A28" s="28">
        <v>0.6</v>
      </c>
      <c r="B28" s="37">
        <f t="shared" si="0"/>
        <v>0.65575000000000006</v>
      </c>
      <c r="C28" s="37">
        <f t="shared" si="1"/>
        <v>0.86568425616458233</v>
      </c>
      <c r="D28" s="45" t="str">
        <f t="shared" si="2"/>
        <v>ATXM</v>
      </c>
    </row>
    <row r="29" spans="1:4" ht="15" customHeight="1" x14ac:dyDescent="0.25">
      <c r="A29" s="28">
        <v>0.7</v>
      </c>
      <c r="B29" s="37">
        <f t="shared" si="0"/>
        <v>0.5983750000000001</v>
      </c>
      <c r="C29" s="37">
        <f t="shared" si="1"/>
        <v>0.84470069212343679</v>
      </c>
      <c r="D29" s="45" t="str">
        <f t="shared" si="2"/>
        <v>ATXM</v>
      </c>
    </row>
    <row r="30" spans="1:4" ht="15" customHeight="1" x14ac:dyDescent="0.25">
      <c r="A30" s="28">
        <v>0.8</v>
      </c>
      <c r="B30" s="37">
        <f t="shared" si="0"/>
        <v>0.54099999999999993</v>
      </c>
      <c r="C30" s="37">
        <f t="shared" si="1"/>
        <v>0.82371712808229103</v>
      </c>
      <c r="D30" s="45" t="str">
        <f t="shared" si="2"/>
        <v>ATXM</v>
      </c>
    </row>
    <row r="31" spans="1:4" ht="15" customHeight="1" x14ac:dyDescent="0.25">
      <c r="A31" s="28">
        <v>0.9</v>
      </c>
      <c r="B31" s="37">
        <f t="shared" si="0"/>
        <v>0.48362500000000003</v>
      </c>
      <c r="C31" s="37">
        <f t="shared" si="1"/>
        <v>0.80273356404114549</v>
      </c>
      <c r="D31" s="45" t="str">
        <f t="shared" si="2"/>
        <v>ATXM</v>
      </c>
    </row>
    <row r="32" spans="1:4" ht="15" customHeight="1" x14ac:dyDescent="0.25">
      <c r="A32" s="28">
        <v>1</v>
      </c>
      <c r="B32" s="37">
        <f t="shared" si="0"/>
        <v>0.42625000000000002</v>
      </c>
      <c r="C32" s="37">
        <f t="shared" si="1"/>
        <v>0.78174999999999994</v>
      </c>
      <c r="D32" s="45" t="str">
        <f t="shared" si="2"/>
        <v>ATXM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Schnell-Check</vt:lpstr>
      <vt:lpstr>Anleitung</vt:lpstr>
      <vt:lpstr>Wirtschaftlichkeit</vt:lpstr>
      <vt:lpstr>Nutzwertanalyse</vt:lpstr>
      <vt:lpstr>s-Diagramm</vt:lpstr>
      <vt:lpstr>Gesamtabwägung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Ralf</cp:lastModifiedBy>
  <cp:revision>5</cp:revision>
  <dcterms:created xsi:type="dcterms:W3CDTF">2026-07-25T14:14:27Z</dcterms:created>
  <dcterms:modified xsi:type="dcterms:W3CDTF">2026-07-26T21:09:06Z</dcterms:modified>
  <dc:language>en-US</dc:language>
</cp:coreProperties>
</file>